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X:\Pensions\Charge Conference Forms\2027\"/>
    </mc:Choice>
  </mc:AlternateContent>
  <xr:revisionPtr revIDLastSave="0" documentId="13_ncr:1_{6FF0659E-F0E2-42A3-9D92-14DDE64CE202}" xr6:coauthVersionLast="47" xr6:coauthVersionMax="47" xr10:uidLastSave="{00000000-0000-0000-0000-000000000000}"/>
  <bookViews>
    <workbookView xWindow="-120" yWindow="-120" windowWidth="29040" windowHeight="15720" xr2:uid="{8B96772B-0A38-4953-93C3-DF33CF46A8E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7" i="1" l="1"/>
  <c r="B76" i="1"/>
  <c r="C75" i="1" s="1"/>
  <c r="C74" i="1"/>
  <c r="E69" i="1"/>
  <c r="E70" i="1" s="1"/>
  <c r="E67" i="1"/>
  <c r="E66" i="1"/>
  <c r="E64" i="1"/>
  <c r="E65" i="1" s="1"/>
  <c r="C53" i="1"/>
  <c r="C54" i="1" s="1"/>
  <c r="C22" i="1" s="1"/>
  <c r="C23" i="1" s="1"/>
  <c r="C79" i="1" l="1"/>
  <c r="C60" i="1"/>
  <c r="C61" i="1"/>
  <c r="E60" i="1" l="1"/>
  <c r="C29" i="1" l="1"/>
  <c r="C30" i="1" s="1"/>
</calcChain>
</file>

<file path=xl/sharedStrings.xml><?xml version="1.0" encoding="utf-8"?>
<sst xmlns="http://schemas.openxmlformats.org/spreadsheetml/2006/main" count="45" uniqueCount="45">
  <si>
    <t>Inputs</t>
  </si>
  <si>
    <t>Clergy Status</t>
  </si>
  <si>
    <t>Total Appointment Percentage</t>
  </si>
  <si>
    <t>Will the clergy live in a parsonage?</t>
  </si>
  <si>
    <t>Compass</t>
  </si>
  <si>
    <t>Total plan compensation:</t>
  </si>
  <si>
    <t>Minimum for parsonage factor</t>
  </si>
  <si>
    <t>Parsonage factor</t>
  </si>
  <si>
    <t>Adjusted for minimum:</t>
  </si>
  <si>
    <t>Total plan compensation calculation:</t>
  </si>
  <si>
    <t>Flat dollar monthly Compass contribution:</t>
  </si>
  <si>
    <t>CPP with floor:</t>
  </si>
  <si>
    <t>CPP with cap:</t>
  </si>
  <si>
    <t>DAC</t>
  </si>
  <si>
    <t>25% of DAC (CPP floor)</t>
  </si>
  <si>
    <t>200% of DAC (CPP cap)</t>
  </si>
  <si>
    <t>CPP calcculations:</t>
  </si>
  <si>
    <t>Clergy Health Plan Direct Bill</t>
  </si>
  <si>
    <t>9% of 135% of DAC (no longer relevant)</t>
  </si>
  <si>
    <t>135% of DAC (no longer relevant)</t>
  </si>
  <si>
    <t>Comprehensive Protection Plan ("CPP")</t>
  </si>
  <si>
    <t>need to add step to determine eligibility based on status and %</t>
  </si>
  <si>
    <t>Less than 75%:</t>
  </si>
  <si>
    <t>75%:</t>
  </si>
  <si>
    <t>100%:</t>
  </si>
  <si>
    <t>Overall test:</t>
  </si>
  <si>
    <t>Elder Deacon or Associate Member</t>
  </si>
  <si>
    <t>VIRGINIA UNITED METHODIST PENSIONS, INC.</t>
  </si>
  <si>
    <t xml:space="preserve">Source text:  </t>
  </si>
  <si>
    <r>
      <t>Compass Church contributions (</t>
    </r>
    <r>
      <rPr>
        <b/>
        <sz val="11"/>
        <color theme="1"/>
        <rFont val="Aptos Narrow"/>
        <family val="2"/>
        <scheme val="minor"/>
      </rPr>
      <t>Annual</t>
    </r>
    <r>
      <rPr>
        <sz val="11"/>
        <color theme="1"/>
        <rFont val="Aptos Narrow"/>
        <family val="2"/>
        <scheme val="minor"/>
      </rPr>
      <t>)</t>
    </r>
  </si>
  <si>
    <r>
      <t>Compass Church contributions (</t>
    </r>
    <r>
      <rPr>
        <b/>
        <sz val="11"/>
        <color theme="1"/>
        <rFont val="Aptos Narrow"/>
        <family val="2"/>
        <scheme val="minor"/>
      </rPr>
      <t>Monthly</t>
    </r>
    <r>
      <rPr>
        <sz val="11"/>
        <color theme="1"/>
        <rFont val="Aptos Narrow"/>
        <family val="2"/>
        <scheme val="minor"/>
      </rPr>
      <t>)</t>
    </r>
  </si>
  <si>
    <r>
      <t>CPP Church contributions (</t>
    </r>
    <r>
      <rPr>
        <b/>
        <sz val="11"/>
        <color theme="1"/>
        <rFont val="Aptos Narrow"/>
        <family val="2"/>
        <scheme val="minor"/>
      </rPr>
      <t>Annual</t>
    </r>
    <r>
      <rPr>
        <sz val="11"/>
        <color theme="1"/>
        <rFont val="Aptos Narrow"/>
        <family val="2"/>
        <scheme val="minor"/>
      </rPr>
      <t>)</t>
    </r>
  </si>
  <si>
    <r>
      <t>CPP Church contributions (</t>
    </r>
    <r>
      <rPr>
        <b/>
        <sz val="11"/>
        <color theme="1"/>
        <rFont val="Aptos Narrow"/>
        <family val="2"/>
        <scheme val="minor"/>
      </rPr>
      <t>Monthly</t>
    </r>
    <r>
      <rPr>
        <sz val="11"/>
        <color theme="1"/>
        <rFont val="Aptos Narrow"/>
        <family val="2"/>
        <scheme val="minor"/>
      </rPr>
      <t>)</t>
    </r>
  </si>
  <si>
    <t>Compensation (including housing allowance &amp; excluding Accountable Reimbursement)</t>
  </si>
  <si>
    <r>
      <t xml:space="preserve"> The amounts calculated below represent the church contributions to Compass.  </t>
    </r>
    <r>
      <rPr>
        <i/>
        <sz val="11"/>
        <color theme="1"/>
        <rFont val="Aptos Narrow"/>
        <family val="2"/>
        <scheme val="minor"/>
      </rPr>
      <t>Note that clergy personal contributions to Compass, which are to be withheld from clergy payroll, will also be included on the VUMPI billing statements.</t>
    </r>
  </si>
  <si>
    <t>Yes</t>
  </si>
  <si>
    <t>ISSUED 8/26</t>
  </si>
  <si>
    <t>Compass, CPP and Clergy Health Plan Direct bill amounts for 2027</t>
  </si>
  <si>
    <t>In 2027, Virginia Conference active clergy appointed to 50%, 75% or 100% local church appointments will be automatically enrolled in the Compass retirement savings program.  All active clergy appointed to 100% local church appointments are eligible for Comprehensive Protection Plan ("CPP") benefits.  In addition, active clergy in full connection (provisional and ordained Deacons and Elders) appointed to 75% appointments are eligible for CPP benefits.</t>
  </si>
  <si>
    <t>Clergy appointed full time, with total plan compensation of at least $20,808 (or cash salary of $15,413 if living in a parsonage) are eligible for CPP.  In addition, part time Elders and Deacons appointed 75% and with total plan compensation meeting the requirements above are eligible.  The following clergy are ineligible for CPP:  clergy with total plan compensation less than the amounts above, Elders and Deacons appointed less than 75%, and Part Time Local Pastors.  For clergy eligible for and enrolled in CPP, billing is 4.4% of total plan compensation.  The "cap" on plan compensation for purposes of this calculation is 200% of the DAC, or $166,470.</t>
  </si>
  <si>
    <r>
      <t xml:space="preserve">In 2027, churches and other salary-paying units will be billed </t>
    </r>
    <r>
      <rPr>
        <b/>
        <sz val="11"/>
        <color theme="1"/>
        <rFont val="Aptos Narrow"/>
        <family val="2"/>
        <scheme val="minor"/>
      </rPr>
      <t xml:space="preserve">$1,660 monthly ($19,920 annually) </t>
    </r>
    <r>
      <rPr>
        <sz val="11"/>
        <color theme="1"/>
        <rFont val="Aptos Narrow"/>
        <family val="2"/>
        <scheme val="minor"/>
      </rPr>
      <t>for each appointed health plan-eligible clergyperson.  If the clergyperson is appointed to multiple appointments that aggregate to full time status, the lead church will be billed the full Direct Bill amount, which is expected to be shared among the multiple appointments pro rata with the individual appointment percentages.</t>
    </r>
  </si>
  <si>
    <t xml:space="preserve">Plan compensation for computing Compass and CPP billing is based on cash salary, excluding accountable reimbursement or travel, plus the parsonage factor or housing allowance. The 2027 parsonage factor is 35% of the cash salary, not including accountable reimbursement or travel.  The minimum parsonage factor is $10,000.  If there is no parsonage, the actual housing allowance, if applicable, is added to the cash salary. </t>
  </si>
  <si>
    <t xml:space="preserve">Please use the drop down fields below to enter the clergy status and total appointment percentage, along with the clergyperson's 2027 compensation data to generate the Compass and CPP billing amounts for 2027.  Please also indicate whether the clergyperson will live in a parsonage in 2027.  </t>
  </si>
  <si>
    <t>25% of DAC / 1.35 (min comp for CPP eligibility if living in parsonage)</t>
  </si>
  <si>
    <t>25% of DAC (min comp for CPP eligibility if not living in parsonage)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</si>
</sst>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7" formatCode="&quot;$&quot;#,##0.00_);\(&quot;$&quot;#,##0.00\)"/>
    <numFmt numFmtId="43" formatCode="_(* #,##0.00_);_(* \(#,##0.00\);_(* &quot;-&quot;??_);_(@_)"/>
  </numFmts>
  <fonts count="9" x14ac:knownFonts="1">
    <font>
      <sz val="11"/>
      <color theme="1"/>
      <name val="Aptos Narrow"/>
      <family val="2"/>
      <scheme val="minor"/>
    </font>
    <font>
      <sz val="11"/>
      <color theme="1"/>
      <name val="Aptos Narrow"/>
      <family val="2"/>
      <scheme val="minor"/>
    </font>
    <font>
      <b/>
      <sz val="11"/>
      <color theme="1"/>
      <name val="Aptos Narrow"/>
      <family val="2"/>
      <scheme val="minor"/>
    </font>
    <font>
      <sz val="11"/>
      <name val="Aptos Narrow"/>
      <family val="2"/>
      <scheme val="minor"/>
    </font>
    <font>
      <b/>
      <sz val="11"/>
      <name val="Aptos Narrow"/>
      <family val="2"/>
      <scheme val="minor"/>
    </font>
    <font>
      <b/>
      <sz val="11"/>
      <color theme="0"/>
      <name val="Aptos Narrow"/>
      <family val="2"/>
      <scheme val="minor"/>
    </font>
    <font>
      <sz val="11"/>
      <color theme="0"/>
      <name val="Aptos Narrow"/>
      <family val="2"/>
      <scheme val="minor"/>
    </font>
    <font>
      <b/>
      <sz val="14"/>
      <name val="Aptos Narrow"/>
      <family val="2"/>
      <scheme val="minor"/>
    </font>
    <font>
      <i/>
      <sz val="11"/>
      <color theme="1"/>
      <name val="Aptos Narrow"/>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rgb="FFC5FBEE"/>
        <bgColor indexed="64"/>
      </patternFill>
    </fill>
    <fill>
      <patternFill patternType="solid">
        <fgColor rgb="FFFAFDB9"/>
        <bgColor indexed="64"/>
      </patternFill>
    </fill>
    <fill>
      <patternFill patternType="solid">
        <fgColor rgb="FFFEF09C"/>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36">
    <xf numFmtId="0" fontId="0" fillId="0" borderId="0" xfId="0"/>
    <xf numFmtId="0" fontId="2" fillId="0" borderId="0" xfId="0" applyFont="1"/>
    <xf numFmtId="9" fontId="0" fillId="2" borderId="1" xfId="0" applyNumberFormat="1" applyFill="1" applyBorder="1" applyAlignment="1">
      <alignment horizontal="center"/>
    </xf>
    <xf numFmtId="0" fontId="0" fillId="2" borderId="1" xfId="0" applyFill="1" applyBorder="1" applyAlignment="1">
      <alignment horizontal="center"/>
    </xf>
    <xf numFmtId="0" fontId="0" fillId="0" borderId="0" xfId="0" applyAlignment="1">
      <alignment horizontal="left"/>
    </xf>
    <xf numFmtId="5" fontId="4" fillId="0" borderId="0" xfId="0" applyNumberFormat="1" applyFont="1" applyAlignment="1">
      <alignment horizontal="left"/>
    </xf>
    <xf numFmtId="5" fontId="7" fillId="0" borderId="0" xfId="0" applyNumberFormat="1" applyFont="1" applyAlignment="1">
      <alignment horizontal="left"/>
    </xf>
    <xf numFmtId="7" fontId="7" fillId="0" borderId="0" xfId="0" applyNumberFormat="1" applyFont="1" applyAlignment="1">
      <alignment horizontal="left"/>
    </xf>
    <xf numFmtId="0" fontId="7" fillId="0" borderId="0" xfId="0" applyFont="1" applyAlignment="1">
      <alignment horizontal="left"/>
    </xf>
    <xf numFmtId="0" fontId="7" fillId="0" borderId="0" xfId="0" applyFont="1" applyAlignment="1">
      <alignment horizontal="right"/>
    </xf>
    <xf numFmtId="0" fontId="5" fillId="0" borderId="0" xfId="0" applyFont="1"/>
    <xf numFmtId="0" fontId="6" fillId="0" borderId="0" xfId="0" applyFont="1"/>
    <xf numFmtId="43" fontId="6" fillId="0" borderId="0" xfId="1" applyFont="1"/>
    <xf numFmtId="9" fontId="6" fillId="0" borderId="0" xfId="0" applyNumberFormat="1" applyFont="1"/>
    <xf numFmtId="43" fontId="6" fillId="0" borderId="0" xfId="0" applyNumberFormat="1" applyFont="1"/>
    <xf numFmtId="43" fontId="5" fillId="0" borderId="0" xfId="0" applyNumberFormat="1" applyFont="1"/>
    <xf numFmtId="5" fontId="6" fillId="0" borderId="0" xfId="0" applyNumberFormat="1" applyFont="1"/>
    <xf numFmtId="7" fontId="6" fillId="0" borderId="0" xfId="0" applyNumberFormat="1" applyFont="1"/>
    <xf numFmtId="5" fontId="6" fillId="0" borderId="0" xfId="0" applyNumberFormat="1" applyFont="1" applyAlignment="1">
      <alignment horizontal="center"/>
    </xf>
    <xf numFmtId="5" fontId="5" fillId="0" borderId="0" xfId="0" applyNumberFormat="1" applyFont="1"/>
    <xf numFmtId="0" fontId="0" fillId="4" borderId="1" xfId="0" applyFill="1" applyBorder="1" applyAlignment="1">
      <alignment horizontal="center"/>
    </xf>
    <xf numFmtId="39" fontId="0" fillId="4" borderId="1" xfId="1" applyNumberFormat="1" applyFont="1" applyFill="1" applyBorder="1" applyAlignment="1">
      <alignment horizontal="center"/>
    </xf>
    <xf numFmtId="39" fontId="2" fillId="5" borderId="1" xfId="1" applyNumberFormat="1" applyFont="1" applyFill="1" applyBorder="1" applyAlignment="1">
      <alignment horizontal="center"/>
    </xf>
    <xf numFmtId="39" fontId="2" fillId="5" borderId="1" xfId="0" applyNumberFormat="1" applyFont="1" applyFill="1" applyBorder="1" applyAlignment="1">
      <alignment horizontal="center"/>
    </xf>
    <xf numFmtId="5" fontId="3" fillId="0" borderId="0" xfId="0" applyNumberFormat="1" applyFont="1" applyAlignment="1">
      <alignment horizontal="left" wrapText="1"/>
    </xf>
    <xf numFmtId="5" fontId="3" fillId="0" borderId="0" xfId="0" applyNumberFormat="1" applyFont="1" applyAlignment="1">
      <alignment horizontal="left" wrapText="1"/>
    </xf>
    <xf numFmtId="0" fontId="0" fillId="0" borderId="0" xfId="0" applyAlignment="1">
      <alignment horizontal="left" wrapText="1"/>
    </xf>
    <xf numFmtId="5" fontId="7" fillId="0" borderId="2" xfId="0" applyNumberFormat="1" applyFont="1" applyBorder="1" applyAlignment="1">
      <alignment horizontal="left"/>
    </xf>
    <xf numFmtId="0" fontId="4" fillId="0" borderId="0" xfId="0" applyFont="1" applyAlignment="1">
      <alignment horizontal="left" wrapText="1"/>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2" fillId="3" borderId="5" xfId="0" applyFont="1" applyFill="1" applyBorder="1" applyAlignment="1">
      <alignment horizontal="center"/>
    </xf>
    <xf numFmtId="0" fontId="3" fillId="0" borderId="0" xfId="0" applyFont="1"/>
  </cellXfs>
  <cellStyles count="2">
    <cellStyle name="Comma" xfId="1" builtinId="3"/>
    <cellStyle name="Normal" xfId="0" builtinId="0"/>
  </cellStyles>
  <dxfs count="0"/>
  <tableStyles count="0" defaultTableStyle="TableStyleMedium2" defaultPivotStyle="PivotStyleLight16"/>
  <colors>
    <mruColors>
      <color rgb="FFFEF09C"/>
      <color rgb="FFFEE2FF"/>
      <color rgb="FFFAFDB9"/>
      <color rgb="FFF2F6DA"/>
      <color rgb="FFE7EAE6"/>
      <color rgb="FFC5FB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450AD-C3CB-4C39-92FD-3E8A2C1B781B}">
  <dimension ref="B1:K79"/>
  <sheetViews>
    <sheetView showGridLines="0" tabSelected="1" zoomScale="104" zoomScaleNormal="104" workbookViewId="0"/>
  </sheetViews>
  <sheetFormatPr defaultRowHeight="15" x14ac:dyDescent="0.25"/>
  <cols>
    <col min="1" max="1" width="15.28515625" customWidth="1"/>
    <col min="2" max="2" width="75.140625" customWidth="1"/>
    <col min="3" max="3" width="37.5703125" customWidth="1"/>
    <col min="4" max="4" width="2.7109375" customWidth="1"/>
    <col min="5" max="5" width="11.7109375" bestFit="1" customWidth="1"/>
    <col min="8" max="8" width="46.28515625" customWidth="1"/>
    <col min="9" max="9" width="9.5703125" bestFit="1" customWidth="1"/>
  </cols>
  <sheetData>
    <row r="1" spans="2:11" ht="9" customHeight="1" x14ac:dyDescent="0.25"/>
    <row r="2" spans="2:11" ht="18.75" x14ac:dyDescent="0.3">
      <c r="B2" s="6" t="s">
        <v>27</v>
      </c>
      <c r="C2" s="6"/>
      <c r="D2" s="7"/>
      <c r="E2" s="7"/>
      <c r="F2" s="7"/>
      <c r="G2" s="8"/>
      <c r="H2" s="8"/>
      <c r="I2" s="8"/>
      <c r="J2" s="8"/>
      <c r="K2" s="9" t="s">
        <v>36</v>
      </c>
    </row>
    <row r="3" spans="2:11" ht="19.5" thickBot="1" x14ac:dyDescent="0.35">
      <c r="B3" s="27" t="s">
        <v>37</v>
      </c>
      <c r="C3" s="27"/>
      <c r="D3" s="27"/>
      <c r="E3" s="27"/>
      <c r="F3" s="27"/>
      <c r="G3" s="27"/>
      <c r="H3" s="27"/>
      <c r="I3" s="27"/>
      <c r="J3" s="27"/>
      <c r="K3" s="27"/>
    </row>
    <row r="4" spans="2:11" ht="9" customHeight="1" x14ac:dyDescent="0.25">
      <c r="B4" s="5"/>
      <c r="C4" s="5"/>
      <c r="D4" s="5"/>
      <c r="E4" s="5"/>
      <c r="F4" s="5"/>
      <c r="G4" s="5"/>
      <c r="H4" s="5"/>
      <c r="I4" s="5"/>
      <c r="J4" s="5"/>
      <c r="K4" s="5"/>
    </row>
    <row r="5" spans="2:11" ht="28.9" customHeight="1" x14ac:dyDescent="0.25">
      <c r="B5" s="25" t="s">
        <v>38</v>
      </c>
      <c r="C5" s="25"/>
      <c r="D5" s="25"/>
      <c r="E5" s="25"/>
      <c r="F5" s="25"/>
      <c r="G5" s="25"/>
      <c r="H5" s="25"/>
      <c r="I5" s="25"/>
      <c r="J5" s="25"/>
      <c r="K5" s="25"/>
    </row>
    <row r="6" spans="2:11" ht="9" customHeight="1" x14ac:dyDescent="0.25">
      <c r="B6" s="5"/>
      <c r="C6" s="5"/>
      <c r="D6" s="5"/>
      <c r="E6" s="5"/>
      <c r="F6" s="5"/>
      <c r="G6" s="5"/>
      <c r="H6" s="5"/>
      <c r="I6" s="5"/>
      <c r="J6" s="5"/>
      <c r="K6" s="5"/>
    </row>
    <row r="7" spans="2:11" ht="34.5" customHeight="1" x14ac:dyDescent="0.25">
      <c r="B7" s="25" t="s">
        <v>41</v>
      </c>
      <c r="C7" s="25"/>
      <c r="D7" s="25"/>
      <c r="E7" s="25"/>
      <c r="F7" s="25"/>
      <c r="G7" s="25"/>
      <c r="H7" s="25"/>
      <c r="I7" s="25"/>
      <c r="J7" s="25"/>
      <c r="K7" s="25"/>
    </row>
    <row r="8" spans="2:11" ht="7.9" customHeight="1" x14ac:dyDescent="0.25">
      <c r="B8" s="24"/>
      <c r="C8" s="24"/>
      <c r="D8" s="24"/>
      <c r="E8" s="24"/>
      <c r="F8" s="24"/>
      <c r="G8" s="24"/>
      <c r="H8" s="24"/>
      <c r="I8" s="24"/>
      <c r="J8" s="24"/>
      <c r="K8" s="24"/>
    </row>
    <row r="9" spans="2:11" ht="28.9" customHeight="1" x14ac:dyDescent="0.25">
      <c r="B9" s="28" t="s">
        <v>42</v>
      </c>
      <c r="C9" s="28"/>
      <c r="D9" s="28"/>
      <c r="E9" s="28"/>
      <c r="F9" s="28"/>
      <c r="G9" s="28"/>
      <c r="H9" s="28"/>
      <c r="I9" s="28"/>
      <c r="J9" s="28"/>
      <c r="K9" s="28"/>
    </row>
    <row r="10" spans="2:11" ht="9" customHeight="1" thickBot="1" x14ac:dyDescent="0.3">
      <c r="B10" s="5"/>
      <c r="C10" s="5"/>
      <c r="D10" s="5"/>
      <c r="E10" s="5"/>
      <c r="F10" s="5"/>
      <c r="G10" s="5"/>
      <c r="H10" s="5"/>
      <c r="I10" s="5"/>
      <c r="J10" s="5"/>
      <c r="K10" s="5"/>
    </row>
    <row r="11" spans="2:11" ht="15.75" thickBot="1" x14ac:dyDescent="0.3">
      <c r="B11" s="29" t="s">
        <v>0</v>
      </c>
      <c r="C11" s="30"/>
      <c r="D11" s="30"/>
      <c r="E11" s="30"/>
      <c r="F11" s="30"/>
      <c r="G11" s="30"/>
      <c r="H11" s="30"/>
      <c r="I11" s="30"/>
      <c r="J11" s="30"/>
      <c r="K11" s="31"/>
    </row>
    <row r="12" spans="2:11" ht="9" customHeight="1" thickBot="1" x14ac:dyDescent="0.3"/>
    <row r="13" spans="2:11" ht="15.75" thickBot="1" x14ac:dyDescent="0.3">
      <c r="B13" t="s">
        <v>1</v>
      </c>
      <c r="C13" s="20" t="s">
        <v>26</v>
      </c>
    </row>
    <row r="14" spans="2:11" ht="15.75" thickBot="1" x14ac:dyDescent="0.3">
      <c r="B14" t="s">
        <v>2</v>
      </c>
      <c r="C14" s="2">
        <v>1</v>
      </c>
    </row>
    <row r="15" spans="2:11" ht="15.75" thickBot="1" x14ac:dyDescent="0.3">
      <c r="B15" t="s">
        <v>33</v>
      </c>
      <c r="C15" s="21">
        <v>47500</v>
      </c>
    </row>
    <row r="16" spans="2:11" ht="15.75" thickBot="1" x14ac:dyDescent="0.3">
      <c r="B16" t="s">
        <v>3</v>
      </c>
      <c r="C16" s="3" t="s">
        <v>35</v>
      </c>
    </row>
    <row r="17" spans="2:11" ht="9" customHeight="1" thickBot="1" x14ac:dyDescent="0.3"/>
    <row r="18" spans="2:11" ht="15.75" thickBot="1" x14ac:dyDescent="0.3">
      <c r="B18" s="32" t="s">
        <v>4</v>
      </c>
      <c r="C18" s="33"/>
      <c r="D18" s="33"/>
      <c r="E18" s="33"/>
      <c r="F18" s="33"/>
      <c r="G18" s="33"/>
      <c r="H18" s="33"/>
      <c r="I18" s="33"/>
      <c r="J18" s="33"/>
      <c r="K18" s="34"/>
    </row>
    <row r="19" spans="2:11" ht="9" customHeight="1" x14ac:dyDescent="0.25">
      <c r="B19" s="1"/>
    </row>
    <row r="20" spans="2:11" ht="17.45" customHeight="1" x14ac:dyDescent="0.25">
      <c r="B20" s="26" t="s">
        <v>34</v>
      </c>
      <c r="C20" s="26"/>
      <c r="D20" s="26"/>
      <c r="E20" s="26"/>
      <c r="F20" s="26"/>
      <c r="G20" s="26"/>
      <c r="H20" s="26"/>
      <c r="I20" s="26"/>
      <c r="J20" s="26"/>
      <c r="K20" s="26"/>
    </row>
    <row r="21" spans="2:11" ht="8.4499999999999993" customHeight="1" thickBot="1" x14ac:dyDescent="0.3"/>
    <row r="22" spans="2:11" ht="15.75" thickBot="1" x14ac:dyDescent="0.3">
      <c r="B22" t="s">
        <v>29</v>
      </c>
      <c r="C22" s="22">
        <f>IF(C14&gt;25%,(C54*0.07)+((C56*12)*C14),"Ineligible")</f>
        <v>6288.75</v>
      </c>
    </row>
    <row r="23" spans="2:11" ht="15.75" thickBot="1" x14ac:dyDescent="0.3">
      <c r="B23" t="s">
        <v>30</v>
      </c>
      <c r="C23" s="23">
        <f>IF(C22="Ineligible","Ineligible",C22/12)</f>
        <v>524.0625</v>
      </c>
    </row>
    <row r="24" spans="2:11" ht="9" customHeight="1" thickBot="1" x14ac:dyDescent="0.3"/>
    <row r="25" spans="2:11" ht="15.75" thickBot="1" x14ac:dyDescent="0.3">
      <c r="B25" s="32" t="s">
        <v>20</v>
      </c>
      <c r="C25" s="33"/>
      <c r="D25" s="33"/>
      <c r="E25" s="33"/>
      <c r="F25" s="33"/>
      <c r="G25" s="33"/>
      <c r="H25" s="33"/>
      <c r="I25" s="33"/>
      <c r="J25" s="33"/>
      <c r="K25" s="34"/>
    </row>
    <row r="26" spans="2:11" ht="9" customHeight="1" x14ac:dyDescent="0.25"/>
    <row r="27" spans="2:11" ht="43.15" customHeight="1" x14ac:dyDescent="0.25">
      <c r="B27" s="25" t="s">
        <v>39</v>
      </c>
      <c r="C27" s="25"/>
      <c r="D27" s="25"/>
      <c r="E27" s="25"/>
      <c r="F27" s="25"/>
      <c r="G27" s="25"/>
      <c r="H27" s="25"/>
      <c r="I27" s="25"/>
      <c r="J27" s="25"/>
      <c r="K27" s="25"/>
    </row>
    <row r="28" spans="2:11" ht="9" customHeight="1" thickBot="1" x14ac:dyDescent="0.3"/>
    <row r="29" spans="2:11" ht="15.75" thickBot="1" x14ac:dyDescent="0.3">
      <c r="B29" t="s">
        <v>31</v>
      </c>
      <c r="C29" s="22">
        <f>IF(C79="Eligible",E60,"Ineligible")</f>
        <v>2821.5</v>
      </c>
    </row>
    <row r="30" spans="2:11" ht="15.75" thickBot="1" x14ac:dyDescent="0.3">
      <c r="B30" t="s">
        <v>32</v>
      </c>
      <c r="C30" s="23">
        <f>IF(AND(C79="Eligible",E60&lt;&gt;"Ineligible"),C29/12,"Ineligible")</f>
        <v>235.125</v>
      </c>
    </row>
    <row r="31" spans="2:11" ht="9" customHeight="1" thickBot="1" x14ac:dyDescent="0.3"/>
    <row r="32" spans="2:11" ht="15.75" thickBot="1" x14ac:dyDescent="0.3">
      <c r="B32" s="32" t="s">
        <v>17</v>
      </c>
      <c r="C32" s="33"/>
      <c r="D32" s="33"/>
      <c r="E32" s="33"/>
      <c r="F32" s="33"/>
      <c r="G32" s="33"/>
      <c r="H32" s="33"/>
      <c r="I32" s="33"/>
      <c r="J32" s="33"/>
      <c r="K32" s="34"/>
    </row>
    <row r="33" spans="2:11" ht="9" customHeight="1" x14ac:dyDescent="0.25"/>
    <row r="34" spans="2:11" s="4" customFormat="1" ht="31.15" customHeight="1" x14ac:dyDescent="0.25">
      <c r="B34" s="26" t="s">
        <v>40</v>
      </c>
      <c r="C34" s="26"/>
      <c r="D34" s="26"/>
      <c r="E34" s="26"/>
      <c r="F34" s="26"/>
      <c r="G34" s="26"/>
      <c r="H34" s="26"/>
      <c r="I34" s="26"/>
      <c r="J34" s="26"/>
      <c r="K34" s="26"/>
    </row>
    <row r="38" spans="2:11" s="35" customFormat="1" x14ac:dyDescent="0.25"/>
    <row r="39" spans="2:11" s="35" customFormat="1" x14ac:dyDescent="0.25"/>
    <row r="40" spans="2:11" s="35" customFormat="1" x14ac:dyDescent="0.25"/>
    <row r="41" spans="2:11" s="35" customFormat="1" x14ac:dyDescent="0.25"/>
    <row r="42" spans="2:11" s="35" customFormat="1" x14ac:dyDescent="0.25"/>
    <row r="43" spans="2:11" s="35" customFormat="1" x14ac:dyDescent="0.25"/>
    <row r="44" spans="2:11" s="35" customFormat="1" x14ac:dyDescent="0.25"/>
    <row r="45" spans="2:11" s="35" customFormat="1" x14ac:dyDescent="0.25"/>
    <row r="46" spans="2:11" s="11" customFormat="1" x14ac:dyDescent="0.25"/>
    <row r="47" spans="2:11" s="11" customFormat="1" x14ac:dyDescent="0.25"/>
    <row r="48" spans="2:11" s="11" customFormat="1" x14ac:dyDescent="0.25">
      <c r="B48" s="10" t="s">
        <v>28</v>
      </c>
    </row>
    <row r="49" spans="2:10" s="11" customFormat="1" x14ac:dyDescent="0.25"/>
    <row r="50" spans="2:10" s="11" customFormat="1" x14ac:dyDescent="0.25">
      <c r="B50" s="10" t="s">
        <v>9</v>
      </c>
    </row>
    <row r="51" spans="2:10" s="11" customFormat="1" x14ac:dyDescent="0.25">
      <c r="B51" s="11" t="s">
        <v>6</v>
      </c>
      <c r="C51" s="12">
        <v>10000</v>
      </c>
    </row>
    <row r="52" spans="2:10" s="11" customFormat="1" x14ac:dyDescent="0.25">
      <c r="B52" s="11" t="s">
        <v>7</v>
      </c>
      <c r="C52" s="13">
        <v>0.35</v>
      </c>
    </row>
    <row r="53" spans="2:10" s="11" customFormat="1" x14ac:dyDescent="0.25">
      <c r="B53" s="11" t="s">
        <v>8</v>
      </c>
      <c r="C53" s="12">
        <f>IF(C15*C52&gt;9999.99,C15*C52,"10,000")</f>
        <v>16625</v>
      </c>
      <c r="E53" s="14"/>
    </row>
    <row r="54" spans="2:10" s="11" customFormat="1" x14ac:dyDescent="0.25">
      <c r="B54" s="11" t="s">
        <v>5</v>
      </c>
      <c r="C54" s="15">
        <f>IF(C16="Yes",C15+C53,C15)</f>
        <v>64125</v>
      </c>
    </row>
    <row r="55" spans="2:10" s="11" customFormat="1" x14ac:dyDescent="0.25"/>
    <row r="56" spans="2:10" s="11" customFormat="1" x14ac:dyDescent="0.25">
      <c r="B56" s="10" t="s">
        <v>10</v>
      </c>
      <c r="C56" s="11">
        <v>150</v>
      </c>
    </row>
    <row r="57" spans="2:10" s="11" customFormat="1" x14ac:dyDescent="0.25"/>
    <row r="58" spans="2:10" s="11" customFormat="1" x14ac:dyDescent="0.25">
      <c r="B58" s="10" t="s">
        <v>16</v>
      </c>
    </row>
    <row r="59" spans="2:10" s="11" customFormat="1" x14ac:dyDescent="0.25"/>
    <row r="60" spans="2:10" s="11" customFormat="1" x14ac:dyDescent="0.25">
      <c r="B60" s="16" t="s">
        <v>11</v>
      </c>
      <c r="C60" s="17">
        <f>IF($C$54&lt;E66, ("Ineligible"),($C$54*0.044))</f>
        <v>2821.5</v>
      </c>
      <c r="E60" s="17">
        <f>IF(C60="Ineligible","Ineligible",C61)</f>
        <v>2821.5</v>
      </c>
      <c r="F60" s="17"/>
      <c r="H60" s="16"/>
      <c r="I60" s="17"/>
      <c r="J60" s="17"/>
    </row>
    <row r="61" spans="2:10" s="11" customFormat="1" x14ac:dyDescent="0.25">
      <c r="B61" s="16" t="s">
        <v>12</v>
      </c>
      <c r="C61" s="17">
        <f>IF(C54&gt;E67, E67*0.044,C54*0.044)</f>
        <v>2821.5</v>
      </c>
      <c r="E61" s="17"/>
      <c r="F61" s="17"/>
      <c r="H61" s="16"/>
      <c r="I61" s="17"/>
    </row>
    <row r="62" spans="2:10" s="11" customFormat="1" x14ac:dyDescent="0.25">
      <c r="B62" s="16"/>
      <c r="C62" s="16"/>
      <c r="E62" s="17"/>
      <c r="F62" s="17"/>
    </row>
    <row r="63" spans="2:10" s="11" customFormat="1" x14ac:dyDescent="0.25">
      <c r="B63" s="16" t="s">
        <v>13</v>
      </c>
      <c r="C63" s="16"/>
      <c r="E63" s="17">
        <v>83235</v>
      </c>
      <c r="F63" s="17"/>
      <c r="H63" s="18"/>
    </row>
    <row r="64" spans="2:10" s="11" customFormat="1" x14ac:dyDescent="0.25">
      <c r="B64" s="16" t="s">
        <v>19</v>
      </c>
      <c r="C64" s="16"/>
      <c r="E64" s="17">
        <f>E63*1.35</f>
        <v>112367.25000000001</v>
      </c>
      <c r="F64" s="17"/>
      <c r="H64" s="18"/>
    </row>
    <row r="65" spans="2:8" s="11" customFormat="1" x14ac:dyDescent="0.25">
      <c r="B65" s="16" t="s">
        <v>18</v>
      </c>
      <c r="C65" s="16"/>
      <c r="E65" s="17">
        <f>E64*0.09</f>
        <v>10113.052500000002</v>
      </c>
      <c r="F65" s="17"/>
      <c r="H65" s="18"/>
    </row>
    <row r="66" spans="2:8" s="11" customFormat="1" x14ac:dyDescent="0.25">
      <c r="B66" s="16" t="s">
        <v>14</v>
      </c>
      <c r="C66" s="16"/>
      <c r="E66" s="17">
        <f>ROUNDDOWN(E63*0.25,0)</f>
        <v>20808</v>
      </c>
      <c r="F66" s="17"/>
      <c r="H66" s="18"/>
    </row>
    <row r="67" spans="2:8" s="11" customFormat="1" x14ac:dyDescent="0.25">
      <c r="B67" s="16" t="s">
        <v>15</v>
      </c>
      <c r="C67" s="16"/>
      <c r="E67" s="17">
        <f>E63*2</f>
        <v>166470</v>
      </c>
      <c r="F67" s="17"/>
      <c r="H67" s="18"/>
    </row>
    <row r="68" spans="2:8" s="11" customFormat="1" x14ac:dyDescent="0.25">
      <c r="B68" s="16"/>
      <c r="C68" s="16"/>
      <c r="E68" s="17"/>
      <c r="F68" s="17"/>
      <c r="H68" s="18"/>
    </row>
    <row r="69" spans="2:8" s="11" customFormat="1" x14ac:dyDescent="0.25">
      <c r="B69" s="16" t="s">
        <v>44</v>
      </c>
      <c r="C69" s="16"/>
      <c r="E69" s="17">
        <f>ROUNDDOWN(E63*0.25,0)</f>
        <v>20808</v>
      </c>
      <c r="F69" s="17"/>
      <c r="H69" s="18"/>
    </row>
    <row r="70" spans="2:8" s="11" customFormat="1" x14ac:dyDescent="0.25">
      <c r="B70" s="16" t="s">
        <v>43</v>
      </c>
      <c r="C70" s="16"/>
      <c r="E70" s="17">
        <f>E69/1.35</f>
        <v>15413.333333333332</v>
      </c>
      <c r="F70" s="17"/>
      <c r="H70" s="18"/>
    </row>
    <row r="71" spans="2:8" s="11" customFormat="1" x14ac:dyDescent="0.25"/>
    <row r="72" spans="2:8" s="11" customFormat="1" x14ac:dyDescent="0.25">
      <c r="B72" s="19" t="s">
        <v>21</v>
      </c>
    </row>
    <row r="73" spans="2:8" s="11" customFormat="1" x14ac:dyDescent="0.25"/>
    <row r="74" spans="2:8" s="11" customFormat="1" x14ac:dyDescent="0.25">
      <c r="B74" s="11" t="s">
        <v>22</v>
      </c>
      <c r="C74" s="11" t="str">
        <f>IF(C14&lt;75%,"Ineligible","Maybe")</f>
        <v>Maybe</v>
      </c>
    </row>
    <row r="75" spans="2:8" s="11" customFormat="1" x14ac:dyDescent="0.25">
      <c r="B75" s="11" t="s">
        <v>23</v>
      </c>
      <c r="C75" s="11" t="str">
        <f>IF(AND(B76="Elder Deacon or Associate Member",C14=75%),"Eligible","Ineligible")</f>
        <v>Ineligible</v>
      </c>
    </row>
    <row r="76" spans="2:8" s="11" customFormat="1" x14ac:dyDescent="0.25">
      <c r="B76" s="11" t="str">
        <f>C13</f>
        <v>Elder Deacon or Associate Member</v>
      </c>
    </row>
    <row r="77" spans="2:8" s="11" customFormat="1" x14ac:dyDescent="0.25">
      <c r="B77" s="13" t="s">
        <v>24</v>
      </c>
      <c r="C77" s="11" t="str">
        <f>IF(C14=100%,"Eligible","Maybe")</f>
        <v>Eligible</v>
      </c>
    </row>
    <row r="78" spans="2:8" s="11" customFormat="1" x14ac:dyDescent="0.25"/>
    <row r="79" spans="2:8" s="11" customFormat="1" x14ac:dyDescent="0.25">
      <c r="B79" s="11" t="s">
        <v>25</v>
      </c>
      <c r="C79" s="11" t="str">
        <f>IF(OR(C74="Eligible", C75="Eligible", C77="Eligible"), "Eligible", "Ineligible")</f>
        <v>Eligible</v>
      </c>
    </row>
  </sheetData>
  <mergeCells count="11">
    <mergeCell ref="B27:K27"/>
    <mergeCell ref="B34:K34"/>
    <mergeCell ref="B3:K3"/>
    <mergeCell ref="B5:K5"/>
    <mergeCell ref="B9:K9"/>
    <mergeCell ref="B11:K11"/>
    <mergeCell ref="B20:K20"/>
    <mergeCell ref="B18:K18"/>
    <mergeCell ref="B25:K25"/>
    <mergeCell ref="B32:K32"/>
    <mergeCell ref="B7:K7"/>
  </mergeCells>
  <dataValidations count="3">
    <dataValidation type="list" allowBlank="1" showInputMessage="1" showErrorMessage="1" sqref="C13" xr:uid="{8C9E6D48-CB1D-414A-ACE0-5BCF9DF3F4B6}">
      <formula1>"Elder Deacon or Associate Member,Local Pastor,Clergy from another denomination"</formula1>
    </dataValidation>
    <dataValidation type="list" allowBlank="1" showInputMessage="1" showErrorMessage="1" sqref="C14" xr:uid="{492B6999-FD2D-44BE-86D0-B8CF6AD6A646}">
      <formula1>"100%,75%,50%,25%"</formula1>
    </dataValidation>
    <dataValidation type="list" allowBlank="1" showInputMessage="1" showErrorMessage="1" sqref="C16" xr:uid="{F4092B01-670C-4EEE-9EB5-5E6DCE2FC824}">
      <formula1>"Yes,No"</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Fuller</dc:creator>
  <cp:lastModifiedBy>John Fuller</cp:lastModifiedBy>
  <dcterms:created xsi:type="dcterms:W3CDTF">2025-09-02T12:36:39Z</dcterms:created>
  <dcterms:modified xsi:type="dcterms:W3CDTF">2026-08-05T18:17:07Z</dcterms:modified>
</cp:coreProperties>
</file>